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75 M" sheetId="1" r:id="rId1"/>
    <sheet name="160 M" sheetId="2" r:id="rId2"/>
    <sheet name="40 M" sheetId="3" r:id="rId3"/>
  </sheets>
  <definedNames>
    <definedName name="_xlnm.Print_Area" localSheetId="1">'160 M'!$A$1:$H$69</definedName>
    <definedName name="_xlnm.Print_Area" localSheetId="2">'40 M'!$A$1:$H$69</definedName>
    <definedName name="_xlnm.Print_Area" localSheetId="0">'75 M'!$A$1:$H$69</definedName>
  </definedNames>
  <calcPr fullCalcOnLoad="1"/>
</workbook>
</file>

<file path=xl/sharedStrings.xml><?xml version="1.0" encoding="utf-8"?>
<sst xmlns="http://schemas.openxmlformats.org/spreadsheetml/2006/main" count="288" uniqueCount="78">
  <si>
    <t xml:space="preserve">R = </t>
  </si>
  <si>
    <t>Enter</t>
  </si>
  <si>
    <t xml:space="preserve"> MHz.</t>
  </si>
  <si>
    <t xml:space="preserve"> VDC</t>
  </si>
  <si>
    <t xml:space="preserve"> Watts</t>
  </si>
  <si>
    <t xml:space="preserve"> Ohms</t>
  </si>
  <si>
    <t xml:space="preserve"> pF</t>
  </si>
  <si>
    <t xml:space="preserve"> uH</t>
  </si>
  <si>
    <t>Low Z =</t>
  </si>
  <si>
    <t>High Z =</t>
  </si>
  <si>
    <t xml:space="preserve">Q = </t>
  </si>
  <si>
    <t xml:space="preserve">Xs = </t>
  </si>
  <si>
    <t xml:space="preserve">Cs = </t>
  </si>
  <si>
    <t xml:space="preserve">Xp = </t>
  </si>
  <si>
    <t xml:space="preserve">Lp = </t>
  </si>
  <si>
    <t xml:space="preserve">*  Ls = </t>
  </si>
  <si>
    <t xml:space="preserve">*  Cp = </t>
  </si>
  <si>
    <t xml:space="preserve">series tank  L2 = </t>
  </si>
  <si>
    <t xml:space="preserve">series tank  C2 = </t>
  </si>
  <si>
    <t xml:space="preserve">shunt     C1 = </t>
  </si>
  <si>
    <t>*  Ls + L2 =</t>
  </si>
  <si>
    <t>DC feed impedance ~</t>
  </si>
  <si>
    <t xml:space="preserve"> uH  *</t>
  </si>
  <si>
    <t xml:space="preserve">DC feed choke    L1 = </t>
  </si>
  <si>
    <t xml:space="preserve">   L Matching network:</t>
  </si>
  <si>
    <t xml:space="preserve">peak Vdrain = </t>
  </si>
  <si>
    <t xml:space="preserve">Frequency = </t>
  </si>
  <si>
    <t xml:space="preserve">VCC = </t>
  </si>
  <si>
    <t xml:space="preserve">DC Input Power = </t>
  </si>
  <si>
    <t xml:space="preserve">DC current = </t>
  </si>
  <si>
    <t xml:space="preserve">drain BV safety factor = </t>
  </si>
  <si>
    <t xml:space="preserve">desired r.f. output power = </t>
  </si>
  <si>
    <t xml:space="preserve">drain breakdown voltage = </t>
  </si>
  <si>
    <t xml:space="preserve">expected PA efficiency = </t>
  </si>
  <si>
    <t xml:space="preserve"> Amps</t>
  </si>
  <si>
    <t>The drain BV safety factor should be 0.8 or lower.</t>
  </si>
  <si>
    <t>VCC is the supply voltage at maximum positive modulation.</t>
  </si>
  <si>
    <t xml:space="preserve">  INPUT DATA:</t>
  </si>
  <si>
    <t xml:space="preserve">   RESULTS:</t>
  </si>
  <si>
    <t xml:space="preserve">transistor saturation voltage = </t>
  </si>
  <si>
    <t>Transistor saturation voltage - a number between 0 and 5 Volts typically.  Enter 0 for ideal studies.</t>
  </si>
  <si>
    <t xml:space="preserve">L1 reactance factor = </t>
  </si>
  <si>
    <t xml:space="preserve"> %</t>
  </si>
  <si>
    <t>Expected PA efficiency is a number between 1 and 100.  Example: For 93.3 % eff., enter "93.3" .</t>
  </si>
  <si>
    <t xml:space="preserve"> x R</t>
  </si>
  <si>
    <t xml:space="preserve">The calculated values for C1 and C2 compensate for the value of L1 feed choke. </t>
  </si>
  <si>
    <t>interim C1</t>
  </si>
  <si>
    <t>interim C2</t>
  </si>
  <si>
    <t xml:space="preserve">L1 is computed by multiplying "R" x "factor value".  Practical factor value range is from 4 to 160. </t>
  </si>
  <si>
    <t xml:space="preserve"> Note: The capacitive reactance of C1 is usually about 4.5 x R.</t>
  </si>
  <si>
    <t xml:space="preserve">capacitance plus an additional shunt capacitor component. </t>
  </si>
  <si>
    <r>
      <t>So "component" C1 = (</t>
    </r>
    <r>
      <rPr>
        <b/>
        <sz val="10"/>
        <color indexed="8"/>
        <rFont val="Arial"/>
        <family val="2"/>
      </rPr>
      <t>shunt C1</t>
    </r>
    <r>
      <rPr>
        <sz val="10"/>
        <color indexed="8"/>
        <rFont val="Arial"/>
        <family val="0"/>
      </rPr>
      <t>) - (transistor effective output capacitance).</t>
    </r>
  </si>
  <si>
    <r>
      <t xml:space="preserve">The spreadsheet value </t>
    </r>
    <r>
      <rPr>
        <b/>
        <sz val="10"/>
        <color indexed="8"/>
        <rFont val="Arial"/>
        <family val="2"/>
      </rPr>
      <t>shunt C1</t>
    </r>
    <r>
      <rPr>
        <sz val="10"/>
        <color indexed="8"/>
        <rFont val="Arial"/>
        <family val="0"/>
      </rPr>
      <t xml:space="preserve"> is the total combined capacitance of PA transistor effective output </t>
    </r>
  </si>
  <si>
    <r>
      <t>Notes:</t>
    </r>
    <r>
      <rPr>
        <sz val="10"/>
        <rFont val="Arial"/>
        <family val="0"/>
      </rPr>
      <t xml:space="preserve"> </t>
    </r>
  </si>
  <si>
    <t xml:space="preserve">Circuit Q = </t>
  </si>
  <si>
    <t xml:space="preserve"> more ideally between 4 and 10.</t>
  </si>
  <si>
    <t>Circuit Q must be greater than or equal to 1.79.  Practical values should be between 3 - 15 and</t>
  </si>
  <si>
    <t xml:space="preserve"> ideally more than 250.</t>
  </si>
  <si>
    <r>
      <t xml:space="preserve">The Q of </t>
    </r>
    <r>
      <rPr>
        <b/>
        <sz val="10"/>
        <color indexed="8"/>
        <rFont val="Arial"/>
        <family val="2"/>
      </rPr>
      <t>component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L2</t>
    </r>
    <r>
      <rPr>
        <sz val="10"/>
        <color indexed="8"/>
        <rFont val="Arial"/>
        <family val="0"/>
      </rPr>
      <t xml:space="preserve"> should be as high as possible.  This would be a Q of 100 or greater,</t>
    </r>
  </si>
  <si>
    <t>For 50 Ohm</t>
  </si>
  <si>
    <t>Output</t>
  </si>
  <si>
    <t>This result is a function of:</t>
  </si>
  <si>
    <t xml:space="preserve">shunt "loading"   C3 = </t>
  </si>
  <si>
    <t>rf output power, PA efficiency</t>
  </si>
  <si>
    <t xml:space="preserve">  VCC, dc input power</t>
  </si>
  <si>
    <t xml:space="preserve">  VCC</t>
  </si>
  <si>
    <t xml:space="preserve">  drain brkdwn volt., pk. Vdrain</t>
  </si>
  <si>
    <t xml:space="preserve">  Q, F, Vcc, sat. V., dc in pwr</t>
  </si>
  <si>
    <t xml:space="preserve">  VCC, DC current</t>
  </si>
  <si>
    <t xml:space="preserve">  Freq., L1 reactance factor, R</t>
  </si>
  <si>
    <t xml:space="preserve">  Q, Freq., R, L1</t>
  </si>
  <si>
    <t xml:space="preserve">  Q, Freq., R</t>
  </si>
  <si>
    <t>An L-C matching network is incorporated with ( Ls + L2 ) and C3 to raise the 'R' output impedance</t>
  </si>
  <si>
    <t xml:space="preserve"> of the tank circuit up to 50 Ohms output.</t>
  </si>
  <si>
    <r>
      <t xml:space="preserve">Reference: </t>
    </r>
    <r>
      <rPr>
        <i/>
        <sz val="10"/>
        <rFont val="Arial"/>
        <family val="2"/>
      </rPr>
      <t xml:space="preserve">Class-E RF Power Amplifiers, </t>
    </r>
  </si>
  <si>
    <t>by N. Sokal WA1HQC, QEX Jan/Feb 2001.</t>
  </si>
  <si>
    <t>file: ClassE_PA_design4c</t>
  </si>
  <si>
    <t>Class E PA Design - Enhanced.  T.O. Bohlander WA3KLR 08/05/05.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</si>
</sst>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medium">
        <color indexed="11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">
        <color indexed="11"/>
      </right>
      <top>
        <color indexed="63"/>
      </top>
      <bottom style="mediumDashed">
        <color indexed="10"/>
      </bottom>
    </border>
    <border>
      <left style="medium">
        <color indexed="11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">
        <color indexed="11"/>
      </left>
      <right style="mediumDashed">
        <color indexed="10"/>
      </right>
      <top>
        <color indexed="63"/>
      </top>
      <bottom style="mediumDashed">
        <color indexed="10"/>
      </bottom>
    </border>
    <border>
      <left style="medium">
        <color indexed="11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2" xfId="0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9</xdr:col>
      <xdr:colOff>0</xdr:colOff>
      <xdr:row>15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61925"/>
          <a:ext cx="43910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9525</xdr:rowOff>
    </xdr:from>
    <xdr:to>
      <xdr:col>9</xdr:col>
      <xdr:colOff>0</xdr:colOff>
      <xdr:row>15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71450"/>
          <a:ext cx="43719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</xdr:row>
      <xdr:rowOff>19050</xdr:rowOff>
    </xdr:from>
    <xdr:to>
      <xdr:col>9</xdr:col>
      <xdr:colOff>0</xdr:colOff>
      <xdr:row>15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80975"/>
          <a:ext cx="44767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2" width="8.421875" style="0" customWidth="1"/>
    <col min="3" max="3" width="7.421875" style="0" customWidth="1"/>
    <col min="4" max="4" width="26.421875" style="0" customWidth="1"/>
    <col min="5" max="5" width="8.140625" style="0" customWidth="1"/>
    <col min="6" max="6" width="10.00390625" style="0" customWidth="1"/>
    <col min="7" max="7" width="9.421875" style="0" customWidth="1"/>
    <col min="8" max="8" width="7.140625" style="0" customWidth="1"/>
    <col min="9" max="9" width="4.7109375" style="0" customWidth="1"/>
    <col min="10" max="10" width="11.00390625" style="0" customWidth="1"/>
    <col min="11" max="11" width="6.7109375" style="0" customWidth="1"/>
  </cols>
  <sheetData>
    <row r="1" ht="12.75">
      <c r="A1" t="s">
        <v>77</v>
      </c>
    </row>
    <row r="2" ht="12.75">
      <c r="A2" t="s">
        <v>76</v>
      </c>
    </row>
    <row r="3" spans="1:11" ht="12.75">
      <c r="A3" t="s">
        <v>74</v>
      </c>
      <c r="K3" s="13"/>
    </row>
    <row r="4" spans="1:11" ht="12.75">
      <c r="A4" t="s">
        <v>75</v>
      </c>
      <c r="K4" s="13"/>
    </row>
    <row r="5" ht="12.75">
      <c r="A5" s="23"/>
    </row>
    <row r="6" spans="1:2" ht="13.5" thickBot="1">
      <c r="A6" s="5" t="s">
        <v>37</v>
      </c>
      <c r="B6" s="6" t="s">
        <v>1</v>
      </c>
    </row>
    <row r="7" spans="1:2" ht="12.75">
      <c r="A7" s="19" t="s">
        <v>54</v>
      </c>
      <c r="B7" s="8">
        <v>5</v>
      </c>
    </row>
    <row r="8" spans="1:3" ht="12.75">
      <c r="A8" s="9" t="s">
        <v>26</v>
      </c>
      <c r="B8" s="20">
        <v>3.86</v>
      </c>
      <c r="C8" s="3" t="s">
        <v>2</v>
      </c>
    </row>
    <row r="9" spans="1:9" ht="12.75">
      <c r="A9" s="1" t="s">
        <v>27</v>
      </c>
      <c r="B9" s="7">
        <v>110</v>
      </c>
      <c r="C9" s="3" t="s">
        <v>3</v>
      </c>
      <c r="I9" s="13"/>
    </row>
    <row r="10" spans="1:9" ht="12.75">
      <c r="A10" s="1" t="s">
        <v>32</v>
      </c>
      <c r="B10" s="7">
        <v>500</v>
      </c>
      <c r="C10" s="3" t="s">
        <v>3</v>
      </c>
      <c r="I10" s="13"/>
    </row>
    <row r="11" spans="1:9" ht="12.75">
      <c r="A11" s="1" t="s">
        <v>39</v>
      </c>
      <c r="B11" s="7">
        <v>2</v>
      </c>
      <c r="C11" s="3" t="s">
        <v>3</v>
      </c>
      <c r="I11" s="13"/>
    </row>
    <row r="12" spans="1:3" ht="12.75">
      <c r="A12" s="47" t="s">
        <v>31</v>
      </c>
      <c r="B12" s="50">
        <v>1500</v>
      </c>
      <c r="C12" s="3" t="s">
        <v>4</v>
      </c>
    </row>
    <row r="13" spans="1:3" ht="12.75">
      <c r="A13" s="49" t="s">
        <v>33</v>
      </c>
      <c r="B13" s="55">
        <v>93.3</v>
      </c>
      <c r="C13" s="56" t="s">
        <v>42</v>
      </c>
    </row>
    <row r="14" spans="1:3" ht="13.5" thickBot="1">
      <c r="A14" s="53" t="s">
        <v>41</v>
      </c>
      <c r="B14" s="54">
        <v>50</v>
      </c>
      <c r="C14" s="3" t="s">
        <v>44</v>
      </c>
    </row>
    <row r="15" ht="12.75">
      <c r="B15" s="43"/>
    </row>
    <row r="16" spans="1:5" ht="13.5" thickBot="1">
      <c r="A16" s="40" t="s">
        <v>38</v>
      </c>
      <c r="B16" s="24"/>
      <c r="C16" s="24"/>
      <c r="D16" s="2"/>
      <c r="E16" s="2"/>
    </row>
    <row r="17" spans="1:5" ht="12.75">
      <c r="A17" s="46"/>
      <c r="B17" s="13"/>
      <c r="C17" s="45"/>
      <c r="D17" s="69" t="s">
        <v>61</v>
      </c>
      <c r="E17" s="69"/>
    </row>
    <row r="18" spans="1:5" ht="12.75">
      <c r="A18" s="27" t="s">
        <v>28</v>
      </c>
      <c r="B18" s="11">
        <f>B12/B13*100</f>
        <v>1607.717041800643</v>
      </c>
      <c r="C18" s="30" t="s">
        <v>4</v>
      </c>
      <c r="D18" s="68" t="s">
        <v>63</v>
      </c>
      <c r="E18" s="68"/>
    </row>
    <row r="19" spans="1:12" ht="12.75">
      <c r="A19" s="25"/>
      <c r="C19" s="26"/>
      <c r="D19" s="68"/>
      <c r="E19" s="68"/>
      <c r="J19" s="17"/>
      <c r="K19" s="14"/>
      <c r="L19" s="3"/>
    </row>
    <row r="20" spans="1:7" ht="12.75">
      <c r="A20" s="27" t="s">
        <v>29</v>
      </c>
      <c r="B20" s="14">
        <f>B18/B9</f>
        <v>14.615609470914936</v>
      </c>
      <c r="C20" s="29" t="s">
        <v>34</v>
      </c>
      <c r="D20" s="70" t="s">
        <v>64</v>
      </c>
      <c r="E20" s="70"/>
      <c r="F20" s="1" t="s">
        <v>46</v>
      </c>
      <c r="G20" s="57">
        <f>1000000000000/(5.446585*2*PI()*B8*1000000*B26)*(0.99866+(0.91424/B7)-(1.03175/B7^2))</f>
        <v>2302.9716178046565</v>
      </c>
    </row>
    <row r="21" spans="1:7" ht="12.75">
      <c r="A21" s="25"/>
      <c r="C21" s="26"/>
      <c r="D21" s="71"/>
      <c r="E21" s="71"/>
      <c r="F21" s="1" t="s">
        <v>47</v>
      </c>
      <c r="G21" s="57">
        <f>1000000000000*(1/(B7-0.104823))*(1.00121+(1.01468/(B7-1.7879)))/(2*PI()*B8*1000000*B26)</f>
        <v>2959.843236933799</v>
      </c>
    </row>
    <row r="22" spans="1:5" ht="12.75">
      <c r="A22" s="27" t="s">
        <v>25</v>
      </c>
      <c r="B22" s="18">
        <f>B9*3.56</f>
        <v>391.6</v>
      </c>
      <c r="C22" s="30" t="s">
        <v>3</v>
      </c>
      <c r="D22" s="70" t="s">
        <v>65</v>
      </c>
      <c r="E22" s="70"/>
    </row>
    <row r="23" spans="1:5" ht="12.75">
      <c r="A23" s="25"/>
      <c r="C23" s="26"/>
      <c r="D23" s="70"/>
      <c r="E23" s="70"/>
    </row>
    <row r="24" spans="1:6" ht="12.75">
      <c r="A24" s="27" t="s">
        <v>30</v>
      </c>
      <c r="B24" s="4">
        <f>B22/B10</f>
        <v>0.7832</v>
      </c>
      <c r="C24" s="26"/>
      <c r="D24" s="70" t="s">
        <v>66</v>
      </c>
      <c r="E24" s="70"/>
      <c r="F24" s="5" t="s">
        <v>24</v>
      </c>
    </row>
    <row r="25" spans="1:7" ht="12.75">
      <c r="A25" s="25"/>
      <c r="C25" s="26"/>
      <c r="D25" s="70"/>
      <c r="E25" s="70"/>
      <c r="G25" s="15" t="s">
        <v>1</v>
      </c>
    </row>
    <row r="26" spans="1:8" ht="13.5" thickBot="1">
      <c r="A26" s="27" t="s">
        <v>0</v>
      </c>
      <c r="B26" s="35">
        <f>0.576801*((B9-B11)^2)*(1.0000086-(0.414395/B7)-(0.577501/B7^2)+(0.205967/B7^3))/B18</f>
        <v>3.748137080893726</v>
      </c>
      <c r="C26" s="30" t="s">
        <v>5</v>
      </c>
      <c r="D26" s="70" t="s">
        <v>67</v>
      </c>
      <c r="E26" s="70"/>
      <c r="F26" s="16" t="s">
        <v>8</v>
      </c>
      <c r="G26" s="52">
        <f>B26</f>
        <v>3.748137080893726</v>
      </c>
      <c r="H26" s="3" t="s">
        <v>5</v>
      </c>
    </row>
    <row r="27" spans="1:8" ht="13.5" thickBot="1">
      <c r="A27" s="25"/>
      <c r="B27" s="13"/>
      <c r="C27" s="26"/>
      <c r="D27" s="70"/>
      <c r="E27" s="70"/>
      <c r="F27" s="1" t="s">
        <v>9</v>
      </c>
      <c r="G27" s="12">
        <v>50</v>
      </c>
      <c r="H27" s="3" t="s">
        <v>5</v>
      </c>
    </row>
    <row r="28" spans="1:8" ht="12.75">
      <c r="A28" s="27" t="s">
        <v>21</v>
      </c>
      <c r="B28" s="28">
        <f>B9/B20</f>
        <v>7.5262</v>
      </c>
      <c r="C28" s="29" t="s">
        <v>5</v>
      </c>
      <c r="D28" s="70" t="s">
        <v>68</v>
      </c>
      <c r="E28" s="70"/>
      <c r="F28" s="1"/>
      <c r="G28" s="48"/>
      <c r="H28" s="3"/>
    </row>
    <row r="29" spans="1:7" ht="12.75">
      <c r="A29" s="25"/>
      <c r="B29" s="13"/>
      <c r="C29" s="26"/>
      <c r="D29" s="70"/>
      <c r="E29" s="70"/>
      <c r="F29" s="2" t="s">
        <v>10</v>
      </c>
      <c r="G29" s="3">
        <f>((G27/G26)-1)^0.5</f>
        <v>3.512827968726065</v>
      </c>
    </row>
    <row r="30" spans="1:8" ht="12.75">
      <c r="A30" s="27" t="s">
        <v>23</v>
      </c>
      <c r="B30" s="39">
        <f>B14*B26/(2*PI()*B8)</f>
        <v>7.727131396506007</v>
      </c>
      <c r="C30" s="30" t="s">
        <v>7</v>
      </c>
      <c r="D30" s="72" t="s">
        <v>69</v>
      </c>
      <c r="E30" s="75"/>
      <c r="F30" s="2" t="s">
        <v>11</v>
      </c>
      <c r="G30" s="4">
        <f>G26*G29</f>
        <v>13.16656076838275</v>
      </c>
      <c r="H30" s="3" t="s">
        <v>5</v>
      </c>
    </row>
    <row r="31" spans="1:8" ht="12.75">
      <c r="A31" s="25"/>
      <c r="B31" s="13"/>
      <c r="C31" s="26"/>
      <c r="D31" s="70"/>
      <c r="E31" s="70"/>
      <c r="F31" s="17" t="s">
        <v>15</v>
      </c>
      <c r="G31" s="22">
        <f>G30/(2*PI()*B8)</f>
        <v>0.542881665753352</v>
      </c>
      <c r="H31" s="21" t="s">
        <v>7</v>
      </c>
    </row>
    <row r="32" spans="1:8" ht="12.75">
      <c r="A32" s="27" t="s">
        <v>19</v>
      </c>
      <c r="B32" s="18">
        <f>G20+(0.6*1000000/(((2*PI()*B8)^2)*B30))</f>
        <v>2434.979118017355</v>
      </c>
      <c r="C32" s="32" t="s">
        <v>6</v>
      </c>
      <c r="D32" s="72" t="s">
        <v>70</v>
      </c>
      <c r="E32" s="75"/>
      <c r="F32" s="2" t="s">
        <v>12</v>
      </c>
      <c r="G32" s="11">
        <f>1000000/(2*PI()*B8*G30)</f>
        <v>3131.558139385424</v>
      </c>
      <c r="H32" s="10" t="s">
        <v>6</v>
      </c>
    </row>
    <row r="33" spans="1:7" ht="12.75">
      <c r="A33" s="25"/>
      <c r="B33" s="13"/>
      <c r="C33" s="26"/>
      <c r="D33" s="70"/>
      <c r="E33" s="70"/>
      <c r="F33" s="2"/>
      <c r="G33" s="3"/>
    </row>
    <row r="34" spans="1:8" ht="12.75">
      <c r="A34" s="27" t="s">
        <v>18</v>
      </c>
      <c r="B34" s="18">
        <f>G21-(0.2*1000000/(((2*PI()*B8)^2)*B30))</f>
        <v>2915.840736862899</v>
      </c>
      <c r="C34" s="32" t="s">
        <v>6</v>
      </c>
      <c r="D34" s="72" t="s">
        <v>70</v>
      </c>
      <c r="E34" s="75"/>
      <c r="F34" s="2" t="s">
        <v>13</v>
      </c>
      <c r="G34" s="4">
        <f>G27/G29</f>
        <v>14.233546431860315</v>
      </c>
      <c r="H34" s="3" t="s">
        <v>5</v>
      </c>
    </row>
    <row r="35" spans="1:8" ht="12.75">
      <c r="A35" s="25"/>
      <c r="B35" s="13"/>
      <c r="C35" s="26"/>
      <c r="D35" s="70"/>
      <c r="E35" s="70"/>
      <c r="F35" s="2" t="s">
        <v>16</v>
      </c>
      <c r="G35" s="18">
        <f>1000000/(2*PI()*B8*G34)</f>
        <v>2896.8079557213223</v>
      </c>
      <c r="H35" s="10" t="s">
        <v>6</v>
      </c>
    </row>
    <row r="36" spans="1:8" ht="12.75">
      <c r="A36" s="27" t="s">
        <v>17</v>
      </c>
      <c r="B36" s="51">
        <f>B7*B26*1000000/(2*PI()*B8*1000000)</f>
        <v>0.7727131396506008</v>
      </c>
      <c r="C36" s="33" t="s">
        <v>22</v>
      </c>
      <c r="D36" s="72" t="s">
        <v>71</v>
      </c>
      <c r="E36" s="75"/>
      <c r="F36" s="2" t="s">
        <v>14</v>
      </c>
      <c r="G36" s="14">
        <f>G34/(2*PI()*B8)</f>
        <v>0.5868754591602535</v>
      </c>
      <c r="H36" s="3" t="s">
        <v>7</v>
      </c>
    </row>
    <row r="37" spans="1:5" ht="13.5" thickBot="1">
      <c r="A37" s="60"/>
      <c r="B37" s="61"/>
      <c r="C37" s="62"/>
      <c r="D37" s="60"/>
      <c r="E37" s="13"/>
    </row>
    <row r="38" spans="1:5" ht="12.75">
      <c r="A38" s="25"/>
      <c r="B38" s="13"/>
      <c r="C38" s="26"/>
      <c r="D38" s="63"/>
      <c r="E38" s="13"/>
    </row>
    <row r="39" spans="1:5" ht="12.75">
      <c r="A39" s="34" t="s">
        <v>20</v>
      </c>
      <c r="B39" s="35">
        <f>B36+G31</f>
        <v>1.3155948054039528</v>
      </c>
      <c r="C39" s="30" t="s">
        <v>7</v>
      </c>
      <c r="D39" s="65" t="s">
        <v>59</v>
      </c>
      <c r="E39" s="15"/>
    </row>
    <row r="40" spans="1:6" ht="12.75">
      <c r="A40" s="25"/>
      <c r="B40" s="13"/>
      <c r="C40" s="26"/>
      <c r="D40" s="65" t="s">
        <v>60</v>
      </c>
      <c r="E40" s="76"/>
      <c r="F40" s="13"/>
    </row>
    <row r="41" spans="1:5" ht="12.75">
      <c r="A41" s="27" t="s">
        <v>62</v>
      </c>
      <c r="B41" s="31">
        <f>G35</f>
        <v>2896.8079557213223</v>
      </c>
      <c r="C41" s="32" t="s">
        <v>6</v>
      </c>
      <c r="D41" s="73"/>
      <c r="E41" s="13"/>
    </row>
    <row r="42" spans="1:5" ht="13.5" thickBot="1">
      <c r="A42" s="36"/>
      <c r="B42" s="37"/>
      <c r="C42" s="38"/>
      <c r="D42" s="64"/>
      <c r="E42" s="13"/>
    </row>
    <row r="43" ht="12.75">
      <c r="A43" s="44"/>
    </row>
    <row r="44" ht="12.75">
      <c r="A44" s="58" t="s">
        <v>53</v>
      </c>
    </row>
    <row r="45" ht="12.75">
      <c r="A45" s="59" t="s">
        <v>56</v>
      </c>
    </row>
    <row r="46" ht="12.75">
      <c r="A46" s="59" t="s">
        <v>55</v>
      </c>
    </row>
    <row r="47" ht="12.75">
      <c r="A47" s="59"/>
    </row>
    <row r="48" ht="12.75">
      <c r="A48" s="59" t="s">
        <v>58</v>
      </c>
    </row>
    <row r="49" ht="12.75">
      <c r="A49" s="59" t="s">
        <v>57</v>
      </c>
    </row>
    <row r="50" ht="12.75">
      <c r="A50" s="41"/>
    </row>
    <row r="51" ht="12.75">
      <c r="A51" s="41" t="s">
        <v>36</v>
      </c>
    </row>
    <row r="52" ht="12.75">
      <c r="A52" s="41"/>
    </row>
    <row r="53" ht="12.75">
      <c r="A53" s="41" t="s">
        <v>40</v>
      </c>
    </row>
    <row r="54" ht="12.75">
      <c r="A54" s="41"/>
    </row>
    <row r="55" ht="12.75">
      <c r="A55" s="41" t="s">
        <v>43</v>
      </c>
    </row>
    <row r="56" ht="12.75">
      <c r="A56" s="41"/>
    </row>
    <row r="57" ht="12.75">
      <c r="A57" s="41" t="s">
        <v>48</v>
      </c>
    </row>
    <row r="58" ht="12.75">
      <c r="A58" s="41" t="s">
        <v>49</v>
      </c>
    </row>
    <row r="59" ht="12.75">
      <c r="A59" s="41"/>
    </row>
    <row r="60" ht="12.75">
      <c r="A60" s="41" t="s">
        <v>35</v>
      </c>
    </row>
    <row r="61" ht="12.75">
      <c r="A61" s="41"/>
    </row>
    <row r="62" ht="12.75">
      <c r="A62" s="41" t="s">
        <v>45</v>
      </c>
    </row>
    <row r="63" ht="12.75">
      <c r="A63" s="41"/>
    </row>
    <row r="64" ht="12.75">
      <c r="A64" s="41" t="s">
        <v>52</v>
      </c>
    </row>
    <row r="65" ht="12.75">
      <c r="A65" s="41" t="s">
        <v>50</v>
      </c>
    </row>
    <row r="66" ht="12.75">
      <c r="A66" s="41" t="s">
        <v>51</v>
      </c>
    </row>
    <row r="67" ht="12.75">
      <c r="A67" s="41"/>
    </row>
    <row r="68" ht="12.75">
      <c r="A68" s="42" t="s">
        <v>72</v>
      </c>
    </row>
    <row r="69" ht="12.75">
      <c r="A69" t="s">
        <v>73</v>
      </c>
    </row>
  </sheetData>
  <printOptions/>
  <pageMargins left="0.76" right="0.37" top="0.52" bottom="0.42" header="0.45" footer="0.37"/>
  <pageSetup fitToHeight="1" fitToWidth="1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A2" sqref="A2"/>
    </sheetView>
  </sheetViews>
  <sheetFormatPr defaultColWidth="9.140625" defaultRowHeight="12.75"/>
  <cols>
    <col min="1" max="1" width="26.421875" style="0" customWidth="1"/>
    <col min="2" max="2" width="8.421875" style="0" customWidth="1"/>
    <col min="3" max="3" width="7.421875" style="0" customWidth="1"/>
    <col min="4" max="4" width="25.8515625" style="0" customWidth="1"/>
    <col min="5" max="5" width="8.421875" style="0" customWidth="1"/>
    <col min="6" max="7" width="9.7109375" style="0" customWidth="1"/>
    <col min="8" max="8" width="7.00390625" style="0" customWidth="1"/>
    <col min="9" max="9" width="5.00390625" style="0" customWidth="1"/>
    <col min="10" max="10" width="10.57421875" style="0" customWidth="1"/>
    <col min="11" max="11" width="7.00390625" style="0" customWidth="1"/>
  </cols>
  <sheetData>
    <row r="1" ht="12.75">
      <c r="A1" t="s">
        <v>77</v>
      </c>
    </row>
    <row r="2" ht="12.75">
      <c r="A2" t="s">
        <v>76</v>
      </c>
    </row>
    <row r="3" spans="1:11" ht="12.75">
      <c r="A3" t="s">
        <v>74</v>
      </c>
      <c r="K3" s="13"/>
    </row>
    <row r="4" spans="1:11" ht="12.75">
      <c r="A4" t="s">
        <v>75</v>
      </c>
      <c r="K4" s="13"/>
    </row>
    <row r="5" ht="12.75">
      <c r="A5" s="23"/>
    </row>
    <row r="6" spans="1:2" ht="13.5" thickBot="1">
      <c r="A6" s="5" t="s">
        <v>37</v>
      </c>
      <c r="B6" s="6" t="s">
        <v>1</v>
      </c>
    </row>
    <row r="7" spans="1:2" ht="12.75">
      <c r="A7" s="19" t="s">
        <v>54</v>
      </c>
      <c r="B7" s="8">
        <v>7</v>
      </c>
    </row>
    <row r="8" spans="1:3" ht="12.75">
      <c r="A8" s="9" t="s">
        <v>26</v>
      </c>
      <c r="B8" s="20">
        <v>1.92</v>
      </c>
      <c r="C8" s="3" t="s">
        <v>2</v>
      </c>
    </row>
    <row r="9" spans="1:13" ht="12.75">
      <c r="A9" s="1" t="s">
        <v>27</v>
      </c>
      <c r="B9" s="7">
        <v>110</v>
      </c>
      <c r="C9" s="3" t="s">
        <v>3</v>
      </c>
      <c r="I9" s="13"/>
      <c r="M9" s="13"/>
    </row>
    <row r="10" spans="1:9" ht="12.75">
      <c r="A10" s="1" t="s">
        <v>32</v>
      </c>
      <c r="B10" s="7">
        <v>500</v>
      </c>
      <c r="C10" s="3" t="s">
        <v>3</v>
      </c>
      <c r="I10" s="13"/>
    </row>
    <row r="11" spans="1:9" ht="12.75">
      <c r="A11" s="1" t="s">
        <v>39</v>
      </c>
      <c r="B11" s="7">
        <v>2</v>
      </c>
      <c r="C11" s="3" t="s">
        <v>3</v>
      </c>
      <c r="I11" s="13"/>
    </row>
    <row r="12" spans="1:3" ht="12.75">
      <c r="A12" s="47" t="s">
        <v>31</v>
      </c>
      <c r="B12" s="50">
        <v>1500</v>
      </c>
      <c r="C12" s="3" t="s">
        <v>4</v>
      </c>
    </row>
    <row r="13" spans="1:3" ht="12.75">
      <c r="A13" s="49" t="s">
        <v>33</v>
      </c>
      <c r="B13" s="55">
        <v>93.3</v>
      </c>
      <c r="C13" s="56" t="s">
        <v>42</v>
      </c>
    </row>
    <row r="14" spans="1:3" ht="13.5" thickBot="1">
      <c r="A14" s="53" t="s">
        <v>41</v>
      </c>
      <c r="B14" s="54">
        <v>100</v>
      </c>
      <c r="C14" s="3" t="s">
        <v>44</v>
      </c>
    </row>
    <row r="15" ht="12.75">
      <c r="B15" s="43"/>
    </row>
    <row r="16" spans="1:5" ht="13.5" thickBot="1">
      <c r="A16" s="40" t="s">
        <v>38</v>
      </c>
      <c r="B16" s="24"/>
      <c r="C16" s="24"/>
      <c r="D16" s="2"/>
      <c r="E16" s="2"/>
    </row>
    <row r="17" spans="1:12" ht="12.75">
      <c r="A17" s="46"/>
      <c r="B17" s="13"/>
      <c r="C17" s="45"/>
      <c r="D17" s="69" t="s">
        <v>61</v>
      </c>
      <c r="E17" s="69"/>
      <c r="L17" s="3"/>
    </row>
    <row r="18" spans="1:5" ht="12.75">
      <c r="A18" s="27" t="s">
        <v>28</v>
      </c>
      <c r="B18" s="11">
        <f>B12/B13*100</f>
        <v>1607.717041800643</v>
      </c>
      <c r="C18" s="30" t="s">
        <v>4</v>
      </c>
      <c r="D18" s="68" t="s">
        <v>63</v>
      </c>
      <c r="E18" s="68"/>
    </row>
    <row r="19" spans="1:11" ht="12.75">
      <c r="A19" s="25"/>
      <c r="C19" s="26"/>
      <c r="D19" s="68"/>
      <c r="E19" s="68"/>
      <c r="J19" s="17"/>
      <c r="K19" s="14"/>
    </row>
    <row r="20" spans="1:7" ht="12.75">
      <c r="A20" s="27" t="s">
        <v>29</v>
      </c>
      <c r="B20" s="14">
        <f>B18/B9</f>
        <v>14.615609470914936</v>
      </c>
      <c r="C20" s="29" t="s">
        <v>34</v>
      </c>
      <c r="D20" s="70" t="s">
        <v>64</v>
      </c>
      <c r="E20" s="70"/>
      <c r="F20" s="1" t="s">
        <v>46</v>
      </c>
      <c r="G20" s="57">
        <f>1000000000000/(5.446585*2*PI()*B8*1000000*B26)*(0.99866+(0.91424/B7)-(1.03175/B7^2))</f>
        <v>4335.560624215036</v>
      </c>
    </row>
    <row r="21" spans="1:7" ht="12.75">
      <c r="A21" s="25"/>
      <c r="C21" s="26"/>
      <c r="D21" s="71"/>
      <c r="E21" s="71"/>
      <c r="F21" s="1" t="s">
        <v>47</v>
      </c>
      <c r="G21" s="57">
        <f>1000000000000*(1/(B7-0.104823))*(1.00121+(1.01468/(B7-1.7879)))/(2*PI()*B8*1000000*B26)</f>
        <v>3695.6654459543092</v>
      </c>
    </row>
    <row r="22" spans="1:5" ht="12.75">
      <c r="A22" s="27" t="s">
        <v>25</v>
      </c>
      <c r="B22" s="18">
        <f>B9*3.56</f>
        <v>391.6</v>
      </c>
      <c r="C22" s="30" t="s">
        <v>3</v>
      </c>
      <c r="D22" s="70" t="s">
        <v>65</v>
      </c>
      <c r="E22" s="70"/>
    </row>
    <row r="23" spans="1:5" ht="12.75">
      <c r="A23" s="25"/>
      <c r="C23" s="26"/>
      <c r="D23" s="70"/>
      <c r="E23" s="70"/>
    </row>
    <row r="24" spans="1:6" ht="12.75">
      <c r="A24" s="27" t="s">
        <v>30</v>
      </c>
      <c r="B24" s="4">
        <f>B22/B10</f>
        <v>0.7832</v>
      </c>
      <c r="C24" s="26"/>
      <c r="D24" s="70" t="s">
        <v>66</v>
      </c>
      <c r="E24" s="70"/>
      <c r="F24" s="5" t="s">
        <v>24</v>
      </c>
    </row>
    <row r="25" spans="1:7" ht="12.75">
      <c r="A25" s="25"/>
      <c r="C25" s="26"/>
      <c r="D25" s="70"/>
      <c r="E25" s="70"/>
      <c r="G25" s="15" t="s">
        <v>1</v>
      </c>
    </row>
    <row r="26" spans="1:8" ht="13.5" thickBot="1">
      <c r="A26" s="27" t="s">
        <v>0</v>
      </c>
      <c r="B26" s="35">
        <f>0.576801*((B9-B11)^2)*(1.0000086-(0.414395/B7)-(0.577501/B7^2)+(0.205967/B7^3))/B18</f>
        <v>3.8901939910689145</v>
      </c>
      <c r="C26" s="30" t="s">
        <v>5</v>
      </c>
      <c r="D26" s="70" t="s">
        <v>67</v>
      </c>
      <c r="E26" s="70"/>
      <c r="F26" s="16" t="s">
        <v>8</v>
      </c>
      <c r="G26" s="52">
        <f>B26</f>
        <v>3.8901939910689145</v>
      </c>
      <c r="H26" s="3" t="s">
        <v>5</v>
      </c>
    </row>
    <row r="27" spans="1:8" ht="13.5" thickBot="1">
      <c r="A27" s="25"/>
      <c r="B27" s="13"/>
      <c r="C27" s="26"/>
      <c r="D27" s="70"/>
      <c r="E27" s="70"/>
      <c r="F27" s="1" t="s">
        <v>9</v>
      </c>
      <c r="G27" s="12">
        <v>50</v>
      </c>
      <c r="H27" s="3" t="s">
        <v>5</v>
      </c>
    </row>
    <row r="28" spans="1:8" ht="12.75">
      <c r="A28" s="27" t="s">
        <v>21</v>
      </c>
      <c r="B28" s="28">
        <f>B9/B20</f>
        <v>7.5262</v>
      </c>
      <c r="C28" s="29" t="s">
        <v>5</v>
      </c>
      <c r="D28" s="70" t="s">
        <v>68</v>
      </c>
      <c r="E28" s="70"/>
      <c r="F28" s="1"/>
      <c r="G28" s="48"/>
      <c r="H28" s="3"/>
    </row>
    <row r="29" spans="1:7" ht="12.75">
      <c r="A29" s="25"/>
      <c r="B29" s="13"/>
      <c r="C29" s="26"/>
      <c r="D29" s="70"/>
      <c r="E29" s="70"/>
      <c r="F29" s="2" t="s">
        <v>10</v>
      </c>
      <c r="G29" s="3">
        <f>((G27/G26)-1)^0.5</f>
        <v>3.442793847602221</v>
      </c>
    </row>
    <row r="30" spans="1:8" ht="12.75">
      <c r="A30" s="27" t="s">
        <v>23</v>
      </c>
      <c r="B30" s="39">
        <f>B14*B26/(2*PI()*B8)</f>
        <v>32.247062670052415</v>
      </c>
      <c r="C30" s="30" t="s">
        <v>7</v>
      </c>
      <c r="D30" s="72" t="s">
        <v>69</v>
      </c>
      <c r="E30" s="75"/>
      <c r="F30" s="2" t="s">
        <v>11</v>
      </c>
      <c r="G30" s="4">
        <f>G26*G29</f>
        <v>13.393135938431188</v>
      </c>
      <c r="H30" s="3" t="s">
        <v>5</v>
      </c>
    </row>
    <row r="31" spans="1:8" ht="12.75">
      <c r="A31" s="25"/>
      <c r="B31" s="13"/>
      <c r="C31" s="26"/>
      <c r="D31" s="70"/>
      <c r="E31" s="70"/>
      <c r="F31" s="17" t="s">
        <v>15</v>
      </c>
      <c r="G31" s="22">
        <f>G30/(2*PI()*B8)</f>
        <v>1.110199889636997</v>
      </c>
      <c r="H31" s="21" t="s">
        <v>7</v>
      </c>
    </row>
    <row r="32" spans="1:8" ht="12.75">
      <c r="A32" s="27" t="s">
        <v>19</v>
      </c>
      <c r="B32" s="18">
        <f>G20+(0.6*1000000/(((2*PI()*B8)^2)*B30))</f>
        <v>4463.410083214769</v>
      </c>
      <c r="C32" s="32" t="s">
        <v>6</v>
      </c>
      <c r="D32" s="72" t="s">
        <v>70</v>
      </c>
      <c r="E32" s="75"/>
      <c r="F32" s="2" t="s">
        <v>12</v>
      </c>
      <c r="G32" s="11">
        <f>1000000/(2*PI()*B8*G30)</f>
        <v>6189.230058448774</v>
      </c>
      <c r="H32" s="10" t="s">
        <v>6</v>
      </c>
    </row>
    <row r="33" spans="1:7" ht="12.75">
      <c r="A33" s="25"/>
      <c r="B33" s="13"/>
      <c r="C33" s="26"/>
      <c r="D33" s="70"/>
      <c r="E33" s="70"/>
      <c r="F33" s="2"/>
      <c r="G33" s="3"/>
    </row>
    <row r="34" spans="1:8" ht="12.75">
      <c r="A34" s="27" t="s">
        <v>18</v>
      </c>
      <c r="B34" s="18">
        <f>G21-(0.2*1000000/(((2*PI()*B8)^2)*B30))</f>
        <v>3653.048959621065</v>
      </c>
      <c r="C34" s="32" t="s">
        <v>6</v>
      </c>
      <c r="D34" s="72" t="s">
        <v>70</v>
      </c>
      <c r="E34" s="75"/>
      <c r="F34" s="2" t="s">
        <v>13</v>
      </c>
      <c r="G34" s="4">
        <f>G27/G29</f>
        <v>14.523088576686972</v>
      </c>
      <c r="H34" s="3" t="s">
        <v>5</v>
      </c>
    </row>
    <row r="35" spans="1:8" ht="12.75">
      <c r="A35" s="25"/>
      <c r="B35" s="13"/>
      <c r="C35" s="26"/>
      <c r="D35" s="70"/>
      <c r="E35" s="70"/>
      <c r="F35" s="2" t="s">
        <v>16</v>
      </c>
      <c r="G35" s="18">
        <f>1000000/(2*PI()*B8*G34)</f>
        <v>5707.683946794364</v>
      </c>
      <c r="H35" s="10" t="s">
        <v>6</v>
      </c>
    </row>
    <row r="36" spans="1:8" ht="12.75">
      <c r="A36" s="27" t="s">
        <v>17</v>
      </c>
      <c r="B36" s="51">
        <f>B7*B26*1000000/(2*PI()*B8*1000000)</f>
        <v>2.257294386903669</v>
      </c>
      <c r="C36" s="33" t="s">
        <v>22</v>
      </c>
      <c r="D36" s="72" t="s">
        <v>71</v>
      </c>
      <c r="E36" s="75"/>
      <c r="F36" s="2" t="s">
        <v>14</v>
      </c>
      <c r="G36" s="14">
        <f>G34/(2*PI()*B8)</f>
        <v>1.2038652791360263</v>
      </c>
      <c r="H36" s="3" t="s">
        <v>7</v>
      </c>
    </row>
    <row r="37" spans="1:5" ht="13.5" thickBot="1">
      <c r="A37" s="60"/>
      <c r="B37" s="61"/>
      <c r="C37" s="62"/>
      <c r="D37" s="60"/>
      <c r="E37" s="13"/>
    </row>
    <row r="38" spans="1:5" ht="12.75">
      <c r="A38" s="25"/>
      <c r="B38" s="13"/>
      <c r="C38" s="26"/>
      <c r="D38" s="63"/>
      <c r="E38" s="13"/>
    </row>
    <row r="39" spans="1:5" ht="12.75">
      <c r="A39" s="34" t="s">
        <v>20</v>
      </c>
      <c r="B39" s="35">
        <f>B36+G31</f>
        <v>3.3674942765406657</v>
      </c>
      <c r="C39" s="30" t="s">
        <v>7</v>
      </c>
      <c r="D39" s="65" t="s">
        <v>59</v>
      </c>
      <c r="E39" s="15"/>
    </row>
    <row r="40" spans="1:5" ht="12.75">
      <c r="A40" s="25"/>
      <c r="B40" s="13"/>
      <c r="C40" s="26"/>
      <c r="D40" s="65" t="s">
        <v>60</v>
      </c>
      <c r="E40" s="15"/>
    </row>
    <row r="41" spans="1:5" ht="12.75">
      <c r="A41" s="27" t="s">
        <v>62</v>
      </c>
      <c r="B41" s="31">
        <f>G35</f>
        <v>5707.683946794364</v>
      </c>
      <c r="C41" s="32" t="s">
        <v>6</v>
      </c>
      <c r="D41" s="73"/>
      <c r="E41" s="13"/>
    </row>
    <row r="42" spans="1:5" ht="13.5" thickBot="1">
      <c r="A42" s="36"/>
      <c r="B42" s="37"/>
      <c r="C42" s="38"/>
      <c r="D42" s="64"/>
      <c r="E42" s="13"/>
    </row>
    <row r="43" ht="12.75">
      <c r="A43" s="44"/>
    </row>
    <row r="44" ht="12.75">
      <c r="A44" s="58" t="s">
        <v>53</v>
      </c>
    </row>
    <row r="45" ht="12.75">
      <c r="A45" s="59" t="s">
        <v>56</v>
      </c>
    </row>
    <row r="46" ht="12.75">
      <c r="A46" s="59" t="s">
        <v>55</v>
      </c>
    </row>
    <row r="47" ht="12.75">
      <c r="A47" s="59"/>
    </row>
    <row r="48" ht="12.75">
      <c r="A48" s="59" t="s">
        <v>58</v>
      </c>
    </row>
    <row r="49" ht="12.75">
      <c r="A49" s="59" t="s">
        <v>57</v>
      </c>
    </row>
    <row r="50" ht="12.75">
      <c r="A50" s="41"/>
    </row>
    <row r="51" ht="12.75">
      <c r="A51" s="41" t="s">
        <v>36</v>
      </c>
    </row>
    <row r="52" ht="12.75">
      <c r="A52" s="41"/>
    </row>
    <row r="53" ht="12.75">
      <c r="A53" s="41" t="s">
        <v>40</v>
      </c>
    </row>
    <row r="54" ht="12.75">
      <c r="A54" s="41"/>
    </row>
    <row r="55" ht="12.75">
      <c r="A55" s="41" t="s">
        <v>43</v>
      </c>
    </row>
    <row r="56" ht="12.75">
      <c r="A56" s="41"/>
    </row>
    <row r="57" ht="12.75">
      <c r="A57" s="41" t="s">
        <v>48</v>
      </c>
    </row>
    <row r="58" ht="12.75">
      <c r="A58" s="41" t="s">
        <v>49</v>
      </c>
    </row>
    <row r="59" ht="12.75">
      <c r="A59" s="41"/>
    </row>
    <row r="60" ht="12.75">
      <c r="A60" s="41" t="s">
        <v>35</v>
      </c>
    </row>
    <row r="61" ht="12.75">
      <c r="A61" s="41"/>
    </row>
    <row r="62" ht="12.75">
      <c r="A62" s="41" t="s">
        <v>45</v>
      </c>
    </row>
    <row r="63" ht="12.75">
      <c r="A63" s="41"/>
    </row>
    <row r="64" ht="12.75">
      <c r="A64" s="41" t="s">
        <v>52</v>
      </c>
    </row>
    <row r="65" ht="12.75">
      <c r="A65" s="41" t="s">
        <v>50</v>
      </c>
    </row>
    <row r="66" ht="12.75">
      <c r="A66" s="41" t="s">
        <v>51</v>
      </c>
    </row>
    <row r="67" ht="12.75">
      <c r="A67" s="41"/>
    </row>
    <row r="68" ht="12.75">
      <c r="A68" s="42" t="s">
        <v>72</v>
      </c>
    </row>
    <row r="69" ht="12.75">
      <c r="A69" t="s">
        <v>73</v>
      </c>
    </row>
  </sheetData>
  <printOptions/>
  <pageMargins left="0.71" right="0.65" top="0.62" bottom="0.53" header="0.5" footer="0.5"/>
  <pageSetup fitToHeight="1" fitToWidth="1" orientation="portrait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A2" sqref="A2"/>
    </sheetView>
  </sheetViews>
  <sheetFormatPr defaultColWidth="9.140625" defaultRowHeight="12.75"/>
  <cols>
    <col min="1" max="1" width="26.57421875" style="0" customWidth="1"/>
    <col min="2" max="2" width="8.421875" style="0" customWidth="1"/>
    <col min="3" max="3" width="7.28125" style="0" customWidth="1"/>
    <col min="4" max="4" width="26.140625" style="0" customWidth="1"/>
    <col min="5" max="5" width="7.57421875" style="0" customWidth="1"/>
    <col min="6" max="6" width="10.00390625" style="0" customWidth="1"/>
    <col min="7" max="7" width="9.421875" style="0" customWidth="1"/>
    <col min="8" max="8" width="7.421875" style="0" customWidth="1"/>
    <col min="9" max="9" width="7.00390625" style="0" customWidth="1"/>
    <col min="10" max="10" width="10.7109375" style="0" customWidth="1"/>
    <col min="11" max="11" width="6.8515625" style="0" customWidth="1"/>
  </cols>
  <sheetData>
    <row r="1" ht="12.75">
      <c r="A1" t="s">
        <v>77</v>
      </c>
    </row>
    <row r="2" ht="12.75">
      <c r="A2" t="s">
        <v>76</v>
      </c>
    </row>
    <row r="3" spans="1:11" ht="12.75">
      <c r="A3" t="s">
        <v>74</v>
      </c>
      <c r="K3" s="13"/>
    </row>
    <row r="4" spans="1:11" ht="12.75">
      <c r="A4" t="s">
        <v>75</v>
      </c>
      <c r="K4" s="13"/>
    </row>
    <row r="5" ht="12.75">
      <c r="A5" s="23"/>
    </row>
    <row r="6" spans="1:2" ht="13.5" thickBot="1">
      <c r="A6" s="5" t="s">
        <v>37</v>
      </c>
      <c r="B6" s="6" t="s">
        <v>1</v>
      </c>
    </row>
    <row r="7" spans="1:2" ht="12.75">
      <c r="A7" s="19" t="s">
        <v>54</v>
      </c>
      <c r="B7" s="8">
        <v>5</v>
      </c>
    </row>
    <row r="8" spans="1:3" ht="12.75">
      <c r="A8" s="9" t="s">
        <v>26</v>
      </c>
      <c r="B8" s="20">
        <v>7.29</v>
      </c>
      <c r="C8" s="3" t="s">
        <v>2</v>
      </c>
    </row>
    <row r="9" spans="1:13" ht="12.75">
      <c r="A9" s="1" t="s">
        <v>27</v>
      </c>
      <c r="B9" s="7">
        <v>110</v>
      </c>
      <c r="C9" s="3" t="s">
        <v>3</v>
      </c>
      <c r="I9" s="13"/>
      <c r="M9" s="66"/>
    </row>
    <row r="10" spans="1:9" ht="12.75">
      <c r="A10" s="1" t="s">
        <v>32</v>
      </c>
      <c r="B10" s="7">
        <v>500</v>
      </c>
      <c r="C10" s="3" t="s">
        <v>3</v>
      </c>
      <c r="I10" s="13"/>
    </row>
    <row r="11" spans="1:9" ht="12.75">
      <c r="A11" s="1" t="s">
        <v>39</v>
      </c>
      <c r="B11" s="7">
        <v>2</v>
      </c>
      <c r="C11" s="3" t="s">
        <v>3</v>
      </c>
      <c r="I11" s="13"/>
    </row>
    <row r="12" spans="1:3" ht="12.75">
      <c r="A12" s="47" t="s">
        <v>31</v>
      </c>
      <c r="B12" s="50">
        <v>1500</v>
      </c>
      <c r="C12" s="3" t="s">
        <v>4</v>
      </c>
    </row>
    <row r="13" spans="1:3" ht="12.75">
      <c r="A13" s="49" t="s">
        <v>33</v>
      </c>
      <c r="B13" s="55">
        <v>93.3</v>
      </c>
      <c r="C13" s="56" t="s">
        <v>42</v>
      </c>
    </row>
    <row r="14" spans="1:3" ht="13.5" thickBot="1">
      <c r="A14" s="53" t="s">
        <v>41</v>
      </c>
      <c r="B14" s="54">
        <v>50</v>
      </c>
      <c r="C14" s="3" t="s">
        <v>44</v>
      </c>
    </row>
    <row r="15" ht="12.75">
      <c r="B15" s="43"/>
    </row>
    <row r="16" spans="1:5" ht="13.5" thickBot="1">
      <c r="A16" s="40" t="s">
        <v>38</v>
      </c>
      <c r="B16" s="24"/>
      <c r="C16" s="24"/>
      <c r="D16" s="2"/>
      <c r="E16" s="2"/>
    </row>
    <row r="17" spans="1:5" ht="12.75">
      <c r="A17" s="46"/>
      <c r="B17" s="13"/>
      <c r="C17" s="45"/>
      <c r="D17" s="67" t="s">
        <v>61</v>
      </c>
      <c r="E17" s="67"/>
    </row>
    <row r="18" spans="1:5" ht="12.75">
      <c r="A18" s="27" t="s">
        <v>28</v>
      </c>
      <c r="B18" s="11">
        <f>B12/B13*100</f>
        <v>1607.717041800643</v>
      </c>
      <c r="C18" s="30" t="s">
        <v>4</v>
      </c>
      <c r="D18" s="68" t="s">
        <v>63</v>
      </c>
      <c r="E18" s="68"/>
    </row>
    <row r="19" spans="1:11" ht="12.75">
      <c r="A19" s="25"/>
      <c r="C19" s="26"/>
      <c r="D19" s="68"/>
      <c r="E19" s="68"/>
      <c r="J19" s="17"/>
      <c r="K19" s="14"/>
    </row>
    <row r="20" spans="1:7" ht="12.75">
      <c r="A20" s="27" t="s">
        <v>29</v>
      </c>
      <c r="B20" s="14">
        <f>B18/B9</f>
        <v>14.615609470914936</v>
      </c>
      <c r="C20" s="29" t="s">
        <v>34</v>
      </c>
      <c r="D20" s="70" t="s">
        <v>64</v>
      </c>
      <c r="E20" s="70"/>
      <c r="F20" s="1" t="s">
        <v>46</v>
      </c>
      <c r="G20" s="57">
        <f>1000000000000/(5.446585*2*PI()*B8*1000000*B26)*(0.99866+(0.91424/B7)-(1.03175/B7^2))</f>
        <v>1219.4060966702295</v>
      </c>
    </row>
    <row r="21" spans="1:7" ht="12.75">
      <c r="A21" s="25"/>
      <c r="C21" s="26"/>
      <c r="D21" s="71"/>
      <c r="E21" s="71"/>
      <c r="F21" s="1" t="s">
        <v>47</v>
      </c>
      <c r="G21" s="57">
        <f>1000000000000*(1/(B7-0.104823))*(1.00121+(1.01468/(B7-1.7879)))/(2*PI()*B8*1000000*B26)</f>
        <v>1567.2146631775665</v>
      </c>
    </row>
    <row r="22" spans="1:5" ht="12.75">
      <c r="A22" s="27" t="s">
        <v>25</v>
      </c>
      <c r="B22" s="18">
        <f>B9*3.56</f>
        <v>391.6</v>
      </c>
      <c r="C22" s="30" t="s">
        <v>3</v>
      </c>
      <c r="D22" s="70" t="s">
        <v>65</v>
      </c>
      <c r="E22" s="70"/>
    </row>
    <row r="23" spans="1:5" ht="12.75">
      <c r="A23" s="25"/>
      <c r="C23" s="26"/>
      <c r="D23" s="70"/>
      <c r="E23" s="70"/>
    </row>
    <row r="24" spans="1:6" ht="12.75">
      <c r="A24" s="27" t="s">
        <v>30</v>
      </c>
      <c r="B24" s="4">
        <f>B22/B10</f>
        <v>0.7832</v>
      </c>
      <c r="C24" s="26"/>
      <c r="D24" s="70" t="s">
        <v>66</v>
      </c>
      <c r="E24" s="70"/>
      <c r="F24" s="5" t="s">
        <v>24</v>
      </c>
    </row>
    <row r="25" spans="1:7" ht="12.75">
      <c r="A25" s="25"/>
      <c r="C25" s="26"/>
      <c r="D25" s="70"/>
      <c r="E25" s="70"/>
      <c r="G25" s="15" t="s">
        <v>1</v>
      </c>
    </row>
    <row r="26" spans="1:8" ht="13.5" thickBot="1">
      <c r="A26" s="27" t="s">
        <v>0</v>
      </c>
      <c r="B26" s="35">
        <f>0.576801*((B9-B11)^2)*(1.0000086-(0.414395/B7)-(0.577501/B7^2)+(0.205967/B7^3))/B18</f>
        <v>3.748137080893726</v>
      </c>
      <c r="C26" s="30" t="s">
        <v>5</v>
      </c>
      <c r="D26" s="70" t="s">
        <v>67</v>
      </c>
      <c r="E26" s="70"/>
      <c r="F26" s="16" t="s">
        <v>8</v>
      </c>
      <c r="G26" s="52">
        <f>B26</f>
        <v>3.748137080893726</v>
      </c>
      <c r="H26" s="3" t="s">
        <v>5</v>
      </c>
    </row>
    <row r="27" spans="1:8" ht="13.5" thickBot="1">
      <c r="A27" s="25"/>
      <c r="B27" s="13"/>
      <c r="C27" s="26"/>
      <c r="D27" s="70"/>
      <c r="E27" s="70"/>
      <c r="F27" s="1" t="s">
        <v>9</v>
      </c>
      <c r="G27" s="12">
        <v>50</v>
      </c>
      <c r="H27" s="3" t="s">
        <v>5</v>
      </c>
    </row>
    <row r="28" spans="1:8" ht="12.75">
      <c r="A28" s="27" t="s">
        <v>21</v>
      </c>
      <c r="B28" s="28">
        <f>B9/B20</f>
        <v>7.5262</v>
      </c>
      <c r="C28" s="29" t="s">
        <v>5</v>
      </c>
      <c r="D28" s="70" t="s">
        <v>68</v>
      </c>
      <c r="E28" s="70"/>
      <c r="F28" s="1"/>
      <c r="G28" s="48"/>
      <c r="H28" s="3"/>
    </row>
    <row r="29" spans="1:7" ht="12.75">
      <c r="A29" s="25"/>
      <c r="B29" s="13"/>
      <c r="C29" s="26"/>
      <c r="D29" s="70"/>
      <c r="E29" s="70"/>
      <c r="F29" s="2" t="s">
        <v>10</v>
      </c>
      <c r="G29" s="3">
        <f>((G27/G26)-1)^0.5</f>
        <v>3.512827968726065</v>
      </c>
    </row>
    <row r="30" spans="1:8" ht="12.75">
      <c r="A30" s="27" t="s">
        <v>23</v>
      </c>
      <c r="B30" s="39">
        <f>B14*B26/(2*PI()*B8)</f>
        <v>4.091457776476431</v>
      </c>
      <c r="C30" s="30" t="s">
        <v>7</v>
      </c>
      <c r="D30" s="72" t="s">
        <v>69</v>
      </c>
      <c r="E30" s="75"/>
      <c r="F30" s="2" t="s">
        <v>11</v>
      </c>
      <c r="G30" s="4">
        <f>G26*G29</f>
        <v>13.16656076838275</v>
      </c>
      <c r="H30" s="3" t="s">
        <v>5</v>
      </c>
    </row>
    <row r="31" spans="1:8" ht="12.75">
      <c r="A31" s="25"/>
      <c r="B31" s="13"/>
      <c r="C31" s="26"/>
      <c r="D31" s="70"/>
      <c r="E31" s="70"/>
      <c r="F31" s="17" t="s">
        <v>15</v>
      </c>
      <c r="G31" s="22">
        <f>G30/(2*PI()*B8)</f>
        <v>0.28745174620136327</v>
      </c>
      <c r="H31" s="21" t="s">
        <v>7</v>
      </c>
    </row>
    <row r="32" spans="1:8" ht="12.75">
      <c r="A32" s="27" t="s">
        <v>19</v>
      </c>
      <c r="B32" s="18">
        <f>G20+(0.6*1000000/(((2*PI()*B8)^2)*B30))</f>
        <v>1289.3030720914937</v>
      </c>
      <c r="C32" s="32" t="s">
        <v>6</v>
      </c>
      <c r="D32" s="72" t="s">
        <v>70</v>
      </c>
      <c r="E32" s="75"/>
      <c r="F32" s="2" t="s">
        <v>12</v>
      </c>
      <c r="G32" s="11">
        <f>1000000/(2*PI()*B8*G30)</f>
        <v>1658.1364085086057</v>
      </c>
      <c r="H32" s="10" t="s">
        <v>6</v>
      </c>
    </row>
    <row r="33" spans="1:7" ht="12.75">
      <c r="A33" s="25"/>
      <c r="B33" s="13"/>
      <c r="C33" s="26"/>
      <c r="D33" s="70"/>
      <c r="E33" s="70"/>
      <c r="F33" s="2"/>
      <c r="G33" s="3"/>
    </row>
    <row r="34" spans="1:8" ht="12.75">
      <c r="A34" s="27" t="s">
        <v>18</v>
      </c>
      <c r="B34" s="18">
        <f>G21-(0.2*1000000/(((2*PI()*B8)^2)*B30))</f>
        <v>1543.9156713704785</v>
      </c>
      <c r="C34" s="32" t="s">
        <v>6</v>
      </c>
      <c r="D34" s="72" t="s">
        <v>70</v>
      </c>
      <c r="E34" s="75"/>
      <c r="F34" s="2" t="s">
        <v>13</v>
      </c>
      <c r="G34" s="4">
        <f>G27/G29</f>
        <v>14.233546431860315</v>
      </c>
      <c r="H34" s="3" t="s">
        <v>5</v>
      </c>
    </row>
    <row r="35" spans="1:8" ht="12.75">
      <c r="A35" s="25"/>
      <c r="B35" s="13"/>
      <c r="C35" s="26"/>
      <c r="D35" s="70"/>
      <c r="E35" s="70"/>
      <c r="F35" s="2" t="s">
        <v>16</v>
      </c>
      <c r="G35" s="18">
        <f>1000000/(2*PI()*B8*G34)</f>
        <v>1533.8379573503846</v>
      </c>
      <c r="H35" s="10" t="s">
        <v>6</v>
      </c>
    </row>
    <row r="36" spans="1:8" ht="12.75">
      <c r="A36" s="27" t="s">
        <v>17</v>
      </c>
      <c r="B36" s="51">
        <f>B7*B26*1000000/(2*PI()*B8*1000000)</f>
        <v>0.4091457776476432</v>
      </c>
      <c r="C36" s="33" t="s">
        <v>22</v>
      </c>
      <c r="D36" s="72" t="s">
        <v>71</v>
      </c>
      <c r="E36" s="75"/>
      <c r="F36" s="2" t="s">
        <v>14</v>
      </c>
      <c r="G36" s="14">
        <f>G34/(2*PI()*B8)</f>
        <v>0.3107461278955526</v>
      </c>
      <c r="H36" s="3" t="s">
        <v>7</v>
      </c>
    </row>
    <row r="37" spans="1:5" ht="13.5" thickBot="1">
      <c r="A37" s="60"/>
      <c r="B37" s="61"/>
      <c r="C37" s="62"/>
      <c r="D37" s="60"/>
      <c r="E37" s="13"/>
    </row>
    <row r="38" spans="1:6" ht="12.75">
      <c r="A38" s="25"/>
      <c r="B38" s="13"/>
      <c r="C38" s="26"/>
      <c r="D38" s="63"/>
      <c r="E38" s="74"/>
      <c r="F38" s="13"/>
    </row>
    <row r="39" spans="1:6" ht="12.75">
      <c r="A39" s="34" t="s">
        <v>20</v>
      </c>
      <c r="B39" s="35">
        <f>B36+G31</f>
        <v>0.6965975238490065</v>
      </c>
      <c r="C39" s="30" t="s">
        <v>7</v>
      </c>
      <c r="D39" s="65" t="s">
        <v>59</v>
      </c>
      <c r="E39" s="76"/>
      <c r="F39" s="13"/>
    </row>
    <row r="40" spans="1:6" ht="12.75">
      <c r="A40" s="25"/>
      <c r="B40" s="13"/>
      <c r="C40" s="26"/>
      <c r="D40" s="65" t="s">
        <v>60</v>
      </c>
      <c r="E40" s="76"/>
      <c r="F40" s="13"/>
    </row>
    <row r="41" spans="1:5" ht="12.75">
      <c r="A41" s="27" t="s">
        <v>62</v>
      </c>
      <c r="B41" s="31">
        <f>G35</f>
        <v>1533.8379573503846</v>
      </c>
      <c r="C41" s="32" t="s">
        <v>6</v>
      </c>
      <c r="D41" s="73"/>
      <c r="E41" s="13"/>
    </row>
    <row r="42" spans="1:5" ht="13.5" thickBot="1">
      <c r="A42" s="36"/>
      <c r="B42" s="37"/>
      <c r="C42" s="38"/>
      <c r="D42" s="64"/>
      <c r="E42" s="13"/>
    </row>
    <row r="43" ht="12.75">
      <c r="A43" s="44"/>
    </row>
    <row r="44" ht="12.75">
      <c r="A44" s="58" t="s">
        <v>53</v>
      </c>
    </row>
    <row r="45" ht="12.75">
      <c r="A45" s="59" t="s">
        <v>56</v>
      </c>
    </row>
    <row r="46" ht="12.75">
      <c r="A46" s="59" t="s">
        <v>55</v>
      </c>
    </row>
    <row r="47" ht="12.75">
      <c r="A47" s="59"/>
    </row>
    <row r="48" ht="12.75">
      <c r="A48" s="59" t="s">
        <v>58</v>
      </c>
    </row>
    <row r="49" ht="12.75">
      <c r="A49" s="59" t="s">
        <v>57</v>
      </c>
    </row>
    <row r="50" ht="12.75">
      <c r="A50" s="41"/>
    </row>
    <row r="51" ht="12.75">
      <c r="A51" s="41" t="s">
        <v>36</v>
      </c>
    </row>
    <row r="52" ht="12.75">
      <c r="A52" s="41"/>
    </row>
    <row r="53" ht="12.75">
      <c r="A53" s="41" t="s">
        <v>40</v>
      </c>
    </row>
    <row r="54" ht="12.75">
      <c r="A54" s="41"/>
    </row>
    <row r="55" ht="12.75">
      <c r="A55" s="41" t="s">
        <v>43</v>
      </c>
    </row>
    <row r="56" ht="12.75">
      <c r="A56" s="41"/>
    </row>
    <row r="57" ht="12.75">
      <c r="A57" s="41" t="s">
        <v>48</v>
      </c>
    </row>
    <row r="58" ht="12.75">
      <c r="A58" s="41" t="s">
        <v>49</v>
      </c>
    </row>
    <row r="59" ht="12.75">
      <c r="A59" s="41"/>
    </row>
    <row r="60" ht="12.75">
      <c r="A60" s="41" t="s">
        <v>35</v>
      </c>
    </row>
    <row r="61" ht="12.75">
      <c r="A61" s="41"/>
    </row>
    <row r="62" ht="12.75">
      <c r="A62" s="41" t="s">
        <v>45</v>
      </c>
    </row>
    <row r="63" ht="12.75">
      <c r="A63" s="41"/>
    </row>
    <row r="64" ht="12.75">
      <c r="A64" s="41" t="s">
        <v>52</v>
      </c>
    </row>
    <row r="65" ht="12.75">
      <c r="A65" s="41" t="s">
        <v>50</v>
      </c>
    </row>
    <row r="66" ht="12.75">
      <c r="A66" s="41" t="s">
        <v>51</v>
      </c>
    </row>
    <row r="67" ht="12.75">
      <c r="A67" s="41"/>
    </row>
    <row r="68" ht="12.75">
      <c r="A68" s="42" t="s">
        <v>72</v>
      </c>
    </row>
    <row r="69" ht="12.75">
      <c r="A69" t="s">
        <v>73</v>
      </c>
    </row>
  </sheetData>
  <printOptions/>
  <pageMargins left="0.67" right="0.47" top="0.52" bottom="0.57" header="0.51" footer="0.5"/>
  <pageSetup fitToHeight="1" fitToWidth="1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O. Bohlander</dc:creator>
  <cp:keywords/>
  <dc:description/>
  <cp:lastModifiedBy>Thomas O. Bohlander</cp:lastModifiedBy>
  <cp:lastPrinted>2005-08-05T19:16:43Z</cp:lastPrinted>
  <dcterms:created xsi:type="dcterms:W3CDTF">2005-02-08T16:20:25Z</dcterms:created>
  <dcterms:modified xsi:type="dcterms:W3CDTF">2005-08-05T19:17:04Z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